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2120" activeTab="0"/>
  </bookViews>
  <sheets>
    <sheet name="original" sheetId="1" r:id="rId1"/>
    <sheet name="exponent" sheetId="2" r:id="rId2"/>
    <sheet name="polynomial" sheetId="3" r:id="rId3"/>
  </sheets>
  <definedNames>
    <definedName name="solver_adj" localSheetId="1" hidden="1">'exponent'!$I$30</definedName>
    <definedName name="solver_adj" localSheetId="0" hidden="1">'original'!$L$10</definedName>
    <definedName name="solver_adj" localSheetId="2" hidden="1">'polynomial'!$I$30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tr" localSheetId="1" hidden="1">100</definedName>
    <definedName name="solver_itr" localSheetId="0" hidden="1">100</definedName>
    <definedName name="solver_itr" localSheetId="2" hidden="1">100</definedName>
    <definedName name="solver_lhs1" localSheetId="0" hidden="1">'original'!$L$10</definedName>
    <definedName name="solver_lhs2" localSheetId="0" hidden="1">'original'!$L$10</definedName>
    <definedName name="solver_lin" localSheetId="1" hidden="1">2</definedName>
    <definedName name="solver_lin" localSheetId="0" hidden="1">2</definedName>
    <definedName name="solver_lin" localSheetId="2" hidden="1">2</definedName>
    <definedName name="solver_neg" localSheetId="1" hidden="1">2</definedName>
    <definedName name="solver_neg" localSheetId="0" hidden="1">2</definedName>
    <definedName name="solver_neg" localSheetId="2" hidden="1">2</definedName>
    <definedName name="solver_num" localSheetId="1" hidden="1">0</definedName>
    <definedName name="solver_num" localSheetId="0" hidden="1">2</definedName>
    <definedName name="solver_num" localSheetId="2" hidden="1">0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pt" localSheetId="1" hidden="1">'exponent'!$N$29</definedName>
    <definedName name="solver_opt" localSheetId="0" hidden="1">'original'!$R$15</definedName>
    <definedName name="solver_opt" localSheetId="2" hidden="1">'polynomial'!$N$29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'original'!$H$14</definedName>
    <definedName name="solver_scl" localSheetId="1" hidden="1">2</definedName>
    <definedName name="solver_scl" localSheetId="0" hidden="1">2</definedName>
    <definedName name="solver_scl" localSheetId="2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tim" localSheetId="1" hidden="1">100</definedName>
    <definedName name="solver_tim" localSheetId="0" hidden="1">100</definedName>
    <definedName name="solver_tim" localSheetId="2" hidden="1">100</definedName>
    <definedName name="solver_tol" localSheetId="1" hidden="1">0.05</definedName>
    <definedName name="solver_tol" localSheetId="0" hidden="1">0.05</definedName>
    <definedName name="solver_tol" localSheetId="2" hidden="1">0.05</definedName>
    <definedName name="solver_typ" localSheetId="1" hidden="1">2</definedName>
    <definedName name="solver_typ" localSheetId="0" hidden="1">2</definedName>
    <definedName name="solver_typ" localSheetId="2" hidden="1">2</definedName>
    <definedName name="solver_val" localSheetId="1" hidden="1">0</definedName>
    <definedName name="solver_val" localSheetId="0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<sst xmlns="http://schemas.openxmlformats.org/spreadsheetml/2006/main" count="112" uniqueCount="45">
  <si>
    <t>Given:</t>
  </si>
  <si>
    <t>c</t>
  </si>
  <si>
    <t>m</t>
  </si>
  <si>
    <t>L</t>
  </si>
  <si>
    <t>T</t>
  </si>
  <si>
    <t>Nm</t>
  </si>
  <si>
    <t>g</t>
  </si>
  <si>
    <r>
      <t>t</t>
    </r>
    <r>
      <rPr>
        <sz val="10"/>
        <rFont val="Arial"/>
        <family val="0"/>
      </rPr>
      <t xml:space="preserve"> (MPa)</t>
    </r>
  </si>
  <si>
    <t>Ring #</t>
  </si>
  <si>
    <r>
      <t>R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(m)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</si>
  <si>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(m)</t>
    </r>
  </si>
  <si>
    <r>
      <t>R</t>
    </r>
    <r>
      <rPr>
        <vertAlign val="subscript"/>
        <sz val="10"/>
        <rFont val="Arial"/>
        <family val="2"/>
      </rPr>
      <t>ave</t>
    </r>
    <r>
      <rPr>
        <sz val="10"/>
        <rFont val="Arial"/>
        <family val="0"/>
      </rPr>
      <t xml:space="preserve"> (m)</t>
    </r>
  </si>
  <si>
    <t>n</t>
  </si>
  <si>
    <t>rings</t>
  </si>
  <si>
    <t>Guesses:</t>
  </si>
  <si>
    <r>
      <t>g</t>
    </r>
    <r>
      <rPr>
        <vertAlign val="subscript"/>
        <sz val="10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</si>
  <si>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>max</t>
    </r>
  </si>
  <si>
    <t>degrees</t>
  </si>
  <si>
    <r>
      <t xml:space="preserve">g </t>
    </r>
    <r>
      <rPr>
        <sz val="10"/>
        <rFont val="Arial"/>
        <family val="0"/>
      </rPr>
      <t>= r</t>
    </r>
    <r>
      <rPr>
        <vertAlign val="subscript"/>
        <sz val="10"/>
        <rFont val="Arial"/>
        <family val="2"/>
      </rPr>
      <t>ave</t>
    </r>
    <r>
      <rPr>
        <sz val="10"/>
        <rFont val="Arial"/>
        <family val="0"/>
      </rPr>
      <t>*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/c</t>
    </r>
  </si>
  <si>
    <t>Torque (Nm)</t>
  </si>
  <si>
    <t>Total</t>
  </si>
  <si>
    <r>
      <t>Error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</si>
  <si>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>form: A(1-e^kt)</t>
  </si>
  <si>
    <t>A</t>
  </si>
  <si>
    <t>k</t>
  </si>
  <si>
    <t>fitted t</t>
  </si>
  <si>
    <t>error^2</t>
  </si>
  <si>
    <t>sum</t>
  </si>
  <si>
    <r>
      <t>t</t>
    </r>
    <r>
      <rPr>
        <vertAlign val="subscript"/>
        <sz val="10"/>
        <rFont val="Arial"/>
        <family val="2"/>
      </rPr>
      <t>max</t>
    </r>
  </si>
  <si>
    <t>MPa</t>
  </si>
  <si>
    <t>a</t>
  </si>
  <si>
    <t>b</t>
  </si>
  <si>
    <t>form: at+bt^2</t>
  </si>
  <si>
    <t>Ring # = j</t>
  </si>
  <si>
    <t>"FORECAST"</t>
  </si>
  <si>
    <t>Uses EXP</t>
  </si>
  <si>
    <t>fit results</t>
  </si>
  <si>
    <r>
      <t>g</t>
    </r>
    <r>
      <rPr>
        <sz val="10"/>
        <rFont val="Arial"/>
        <family val="0"/>
      </rPr>
      <t xml:space="preserve"> below</t>
    </r>
  </si>
  <si>
    <r>
      <t>g</t>
    </r>
    <r>
      <rPr>
        <sz val="10"/>
        <rFont val="Arial"/>
        <family val="0"/>
      </rPr>
      <t xml:space="preserve"> above</t>
    </r>
  </si>
  <si>
    <r>
      <t>t</t>
    </r>
    <r>
      <rPr>
        <sz val="10"/>
        <rFont val="Arial"/>
        <family val="0"/>
      </rPr>
      <t xml:space="preserve"> below</t>
    </r>
  </si>
  <si>
    <r>
      <t>t</t>
    </r>
    <r>
      <rPr>
        <sz val="10"/>
        <rFont val="Arial"/>
        <family val="0"/>
      </rPr>
      <t xml:space="preserve"> above</t>
    </r>
  </si>
  <si>
    <t>Total Torque</t>
  </si>
  <si>
    <r>
      <t>Error</t>
    </r>
    <r>
      <rPr>
        <vertAlign val="superscript"/>
        <sz val="10"/>
        <rFont val="Arial"/>
        <family val="2"/>
      </rPr>
      <t>2</t>
    </r>
  </si>
  <si>
    <t>Use Solver to adjust gamma max until the torque is correct.</t>
  </si>
  <si>
    <t>21 is max permitted.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</si>
</sst>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"/>
    <numFmt numFmtId="166" formatCode="0.000"/>
    <numFmt numFmtId="167" formatCode="0.0000"/>
    <numFmt numFmtId="168" formatCode="0.00000"/>
    <numFmt numFmtId="169" formatCode="0.00000000"/>
    <numFmt numFmtId="170" formatCode="0.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</numFmts>
  <fonts count="10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sz val="8"/>
      <name val="Symbol"/>
      <family val="1"/>
    </font>
    <font>
      <sz val="3.5"/>
      <name val="Arial"/>
      <family val="0"/>
    </font>
    <font>
      <sz val="9"/>
      <name val="Arial"/>
      <family val="2"/>
    </font>
    <font>
      <sz val="3.75"/>
      <name val="Arial"/>
      <family val="0"/>
    </font>
    <font>
      <sz val="4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5" fontId="0" fillId="5" borderId="0" xfId="0" applyNumberFormat="1" applyFill="1" applyAlignment="1">
      <alignment/>
    </xf>
    <xf numFmtId="0" fontId="0" fillId="6" borderId="0" xfId="0" applyFill="1" applyAlignment="1">
      <alignment horizontal="right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165" fontId="0" fillId="7" borderId="0" xfId="0" applyNumberFormat="1" applyFill="1" applyAlignment="1">
      <alignment/>
    </xf>
    <xf numFmtId="0" fontId="0" fillId="0" borderId="0" xfId="0" applyFill="1" applyAlignment="1">
      <alignment/>
    </xf>
    <xf numFmtId="166" fontId="0" fillId="5" borderId="0" xfId="0" applyNumberFormat="1" applyFill="1" applyAlignment="1">
      <alignment/>
    </xf>
    <xf numFmtId="0" fontId="0" fillId="8" borderId="0" xfId="0" applyFill="1" applyAlignment="1">
      <alignment/>
    </xf>
    <xf numFmtId="0" fontId="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67" fontId="0" fillId="5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6" fontId="0" fillId="7" borderId="0" xfId="0" applyNumberFormat="1" applyFill="1" applyAlignment="1">
      <alignment/>
    </xf>
    <xf numFmtId="165" fontId="0" fillId="9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8" fontId="0" fillId="5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0" fillId="8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(MPa)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original!$H$3:$H$14</c:f>
              <c:numCache/>
            </c:numRef>
          </c:xVal>
          <c:yVal>
            <c:numRef>
              <c:f>original!$I$3:$I$14</c:f>
              <c:numCache/>
            </c:numRef>
          </c:yVal>
          <c:smooth val="1"/>
        </c:ser>
        <c:axId val="65171175"/>
        <c:axId val="49669664"/>
      </c:scatterChart>
      <c:valAx>
        <c:axId val="65171175"/>
        <c:scaling>
          <c:orientation val="minMax"/>
          <c:max val="0.01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69664"/>
        <c:crosses val="autoZero"/>
        <c:crossBetween val="midCat"/>
        <c:dispUnits/>
        <c:majorUnit val="0.004"/>
      </c:valAx>
      <c:valAx>
        <c:axId val="49669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7117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(MPa)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exponent!$I$2</c:f>
              <c:strCache>
                <c:ptCount val="1"/>
                <c:pt idx="0">
                  <c:v>t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exponent!$H$3:$H$14</c:f>
              <c:numCache>
                <c:ptCount val="12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</c:numCache>
            </c:numRef>
          </c:xVal>
          <c:yVal>
            <c:numRef>
              <c:f>exponent!$I$3:$I$14</c:f>
              <c:numCache>
                <c:ptCount val="12"/>
                <c:pt idx="0">
                  <c:v>0</c:v>
                </c:pt>
                <c:pt idx="1">
                  <c:v>33.5</c:v>
                </c:pt>
                <c:pt idx="2">
                  <c:v>64</c:v>
                </c:pt>
                <c:pt idx="3">
                  <c:v>91.5</c:v>
                </c:pt>
                <c:pt idx="4">
                  <c:v>116</c:v>
                </c:pt>
                <c:pt idx="5">
                  <c:v>137.5</c:v>
                </c:pt>
                <c:pt idx="6">
                  <c:v>156</c:v>
                </c:pt>
                <c:pt idx="7">
                  <c:v>171.5</c:v>
                </c:pt>
                <c:pt idx="8">
                  <c:v>184</c:v>
                </c:pt>
                <c:pt idx="9">
                  <c:v>193.5</c:v>
                </c:pt>
                <c:pt idx="10">
                  <c:v>200</c:v>
                </c:pt>
                <c:pt idx="11">
                  <c:v>203.5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exponent!$J$2</c:f>
              <c:strCache>
                <c:ptCount val="1"/>
                <c:pt idx="0">
                  <c:v>fitted 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exponent!$H$3:$H$14</c:f>
              <c:numCache>
                <c:ptCount val="12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</c:numCache>
            </c:numRef>
          </c:xVal>
          <c:yVal>
            <c:numRef>
              <c:f>exponent!$J$3:$J$14</c:f>
              <c:numCache>
                <c:ptCount val="12"/>
                <c:pt idx="0">
                  <c:v>0</c:v>
                </c:pt>
                <c:pt idx="1">
                  <c:v>19.0325163928081</c:v>
                </c:pt>
                <c:pt idx="2">
                  <c:v>36.25384938440364</c:v>
                </c:pt>
                <c:pt idx="3">
                  <c:v>51.83635586365642</c:v>
                </c:pt>
                <c:pt idx="4">
                  <c:v>65.93599079287213</c:v>
                </c:pt>
                <c:pt idx="5">
                  <c:v>78.69386805747331</c:v>
                </c:pt>
                <c:pt idx="6">
                  <c:v>90.23767278119472</c:v>
                </c:pt>
                <c:pt idx="7">
                  <c:v>100.68293924171812</c:v>
                </c:pt>
                <c:pt idx="8">
                  <c:v>110.13420717655569</c:v>
                </c:pt>
                <c:pt idx="9">
                  <c:v>118.68606805188016</c:v>
                </c:pt>
                <c:pt idx="10">
                  <c:v>126.42411176571153</c:v>
                </c:pt>
                <c:pt idx="11">
                  <c:v>133.42578326038407</c:v>
                </c:pt>
              </c:numCache>
            </c:numRef>
          </c:yVal>
          <c:smooth val="0"/>
        </c:ser>
        <c:axId val="44373793"/>
        <c:axId val="63819818"/>
      </c:scatterChart>
      <c:val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19818"/>
        <c:crosses val="autoZero"/>
        <c:crossBetween val="midCat"/>
        <c:dispUnits/>
      </c:valAx>
      <c:valAx>
        <c:axId val="638198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7379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(MPa)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polynomial!$I$2</c:f>
              <c:strCache>
                <c:ptCount val="1"/>
                <c:pt idx="0">
                  <c:v>t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polynomial!$H$3:$H$14</c:f>
              <c:numCache>
                <c:ptCount val="12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</c:numCache>
            </c:numRef>
          </c:xVal>
          <c:yVal>
            <c:numRef>
              <c:f>polynomial!$I$3:$I$14</c:f>
              <c:numCache>
                <c:ptCount val="12"/>
                <c:pt idx="0">
                  <c:v>0</c:v>
                </c:pt>
                <c:pt idx="1">
                  <c:v>33.5</c:v>
                </c:pt>
                <c:pt idx="2">
                  <c:v>64</c:v>
                </c:pt>
                <c:pt idx="3">
                  <c:v>91.5</c:v>
                </c:pt>
                <c:pt idx="4">
                  <c:v>116</c:v>
                </c:pt>
                <c:pt idx="5">
                  <c:v>137.5</c:v>
                </c:pt>
                <c:pt idx="6">
                  <c:v>156</c:v>
                </c:pt>
                <c:pt idx="7">
                  <c:v>171.5</c:v>
                </c:pt>
                <c:pt idx="8">
                  <c:v>184</c:v>
                </c:pt>
                <c:pt idx="9">
                  <c:v>193.5</c:v>
                </c:pt>
                <c:pt idx="10">
                  <c:v>200</c:v>
                </c:pt>
                <c:pt idx="11">
                  <c:v>203.5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polynomial!$J$2</c:f>
              <c:strCache>
                <c:ptCount val="1"/>
                <c:pt idx="0">
                  <c:v>fitted 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polynomial!$H$3:$H$14</c:f>
              <c:numCache>
                <c:ptCount val="12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</c:numCache>
            </c:numRef>
          </c:xVal>
          <c:yVal>
            <c:numRef>
              <c:f>polynomial!$J$3:$J$14</c:f>
              <c:numCache>
                <c:ptCount val="12"/>
                <c:pt idx="0">
                  <c:v>0</c:v>
                </c:pt>
                <c:pt idx="1">
                  <c:v>39</c:v>
                </c:pt>
                <c:pt idx="2">
                  <c:v>76</c:v>
                </c:pt>
                <c:pt idx="3">
                  <c:v>111</c:v>
                </c:pt>
                <c:pt idx="4">
                  <c:v>144</c:v>
                </c:pt>
                <c:pt idx="5">
                  <c:v>175</c:v>
                </c:pt>
                <c:pt idx="6">
                  <c:v>204</c:v>
                </c:pt>
                <c:pt idx="7">
                  <c:v>231</c:v>
                </c:pt>
                <c:pt idx="8">
                  <c:v>256</c:v>
                </c:pt>
                <c:pt idx="9">
                  <c:v>279</c:v>
                </c:pt>
                <c:pt idx="10">
                  <c:v>300</c:v>
                </c:pt>
                <c:pt idx="11">
                  <c:v>319</c:v>
                </c:pt>
              </c:numCache>
            </c:numRef>
          </c:yVal>
          <c:smooth val="0"/>
        </c:ser>
        <c:axId val="37507451"/>
        <c:axId val="2022740"/>
      </c:scatterChart>
      <c:val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2740"/>
        <c:crosses val="autoZero"/>
        <c:crossBetween val="midCat"/>
        <c:dispUnits/>
      </c:valAx>
      <c:valAx>
        <c:axId val="202274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0745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104775</xdr:rowOff>
    </xdr:from>
    <xdr:to>
      <xdr:col>6</xdr:col>
      <xdr:colOff>581025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6200" y="1400175"/>
        <a:ext cx="31813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104775</xdr:rowOff>
    </xdr:from>
    <xdr:to>
      <xdr:col>6</xdr:col>
      <xdr:colOff>495300</xdr:colOff>
      <xdr:row>26</xdr:row>
      <xdr:rowOff>152400</xdr:rowOff>
    </xdr:to>
    <xdr:graphicFrame>
      <xdr:nvGraphicFramePr>
        <xdr:cNvPr id="1" name="Chart 6"/>
        <xdr:cNvGraphicFramePr/>
      </xdr:nvGraphicFramePr>
      <xdr:xfrm>
        <a:off x="95250" y="1724025"/>
        <a:ext cx="3467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152400</xdr:rowOff>
    </xdr:from>
    <xdr:to>
      <xdr:col>6</xdr:col>
      <xdr:colOff>495300</xdr:colOff>
      <xdr:row>28</xdr:row>
      <xdr:rowOff>38100</xdr:rowOff>
    </xdr:to>
    <xdr:graphicFrame>
      <xdr:nvGraphicFramePr>
        <xdr:cNvPr id="1" name="Chart 4"/>
        <xdr:cNvGraphicFramePr/>
      </xdr:nvGraphicFramePr>
      <xdr:xfrm>
        <a:off x="95250" y="1933575"/>
        <a:ext cx="3524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8"/>
  <sheetViews>
    <sheetView tabSelected="1" zoomScale="130" zoomScaleNormal="130" workbookViewId="0" topLeftCell="A1">
      <selection activeCell="L7" sqref="L7"/>
    </sheetView>
  </sheetViews>
  <sheetFormatPr defaultColWidth="9.140625" defaultRowHeight="12.75"/>
  <cols>
    <col min="1" max="1" width="4.140625" style="0" customWidth="1"/>
    <col min="2" max="2" width="7.140625" style="0" customWidth="1"/>
    <col min="5" max="5" width="3.28125" style="0" customWidth="1"/>
    <col min="6" max="6" width="7.28125" style="0" customWidth="1"/>
    <col min="7" max="7" width="9.57421875" style="0" customWidth="1"/>
    <col min="8" max="8" width="10.00390625" style="0" customWidth="1"/>
    <col min="10" max="10" width="8.421875" style="0" customWidth="1"/>
    <col min="11" max="11" width="8.00390625" style="0" customWidth="1"/>
    <col min="12" max="12" width="12.28125" style="0" customWidth="1"/>
    <col min="13" max="13" width="7.8515625" style="0" customWidth="1"/>
    <col min="14" max="14" width="8.421875" style="0" customWidth="1"/>
    <col min="15" max="15" width="7.7109375" style="0" customWidth="1"/>
    <col min="16" max="16" width="7.421875" style="0" customWidth="1"/>
  </cols>
  <sheetData>
    <row r="2" spans="2:12" ht="12.75">
      <c r="B2" s="7" t="s">
        <v>0</v>
      </c>
      <c r="C2" s="7"/>
      <c r="D2" s="7"/>
      <c r="G2" s="7" t="s">
        <v>0</v>
      </c>
      <c r="H2" s="8" t="s">
        <v>6</v>
      </c>
      <c r="I2" s="8" t="s">
        <v>7</v>
      </c>
      <c r="J2" s="11"/>
      <c r="K2" s="11"/>
      <c r="L2" s="11"/>
    </row>
    <row r="3" spans="2:12" ht="12.75">
      <c r="B3" s="6" t="s">
        <v>1</v>
      </c>
      <c r="C3" s="1">
        <v>0.05</v>
      </c>
      <c r="D3" s="7" t="s">
        <v>2</v>
      </c>
      <c r="H3" s="25">
        <v>0</v>
      </c>
      <c r="I3" s="10">
        <v>0</v>
      </c>
      <c r="J3" s="11"/>
      <c r="K3" s="11"/>
      <c r="L3" s="11"/>
    </row>
    <row r="4" spans="2:12" ht="12.75">
      <c r="B4" s="6" t="s">
        <v>3</v>
      </c>
      <c r="C4" s="1">
        <v>0.8</v>
      </c>
      <c r="D4" s="7" t="s">
        <v>2</v>
      </c>
      <c r="H4" s="25">
        <v>0.001</v>
      </c>
      <c r="I4" s="10">
        <v>33.5</v>
      </c>
      <c r="J4" s="11"/>
      <c r="K4" s="11"/>
      <c r="L4" s="11"/>
    </row>
    <row r="5" spans="2:12" ht="12.75">
      <c r="B5" s="6" t="s">
        <v>4</v>
      </c>
      <c r="C5" s="1">
        <v>35000</v>
      </c>
      <c r="D5" s="7" t="s">
        <v>5</v>
      </c>
      <c r="H5" s="25">
        <v>0.002</v>
      </c>
      <c r="I5" s="10">
        <v>64</v>
      </c>
      <c r="J5" s="11"/>
      <c r="K5" s="11"/>
      <c r="L5" s="11"/>
    </row>
    <row r="6" spans="2:12" ht="12.75">
      <c r="B6" s="6" t="s">
        <v>12</v>
      </c>
      <c r="C6" s="1">
        <v>10</v>
      </c>
      <c r="D6" s="7" t="s">
        <v>13</v>
      </c>
      <c r="E6" t="s">
        <v>44</v>
      </c>
      <c r="H6" s="25">
        <v>0.003</v>
      </c>
      <c r="I6" s="10">
        <v>91.5</v>
      </c>
      <c r="J6" s="11"/>
      <c r="K6" s="11"/>
      <c r="L6" s="11"/>
    </row>
    <row r="7" spans="8:12" ht="12.75">
      <c r="H7" s="25">
        <v>0.004</v>
      </c>
      <c r="I7" s="10">
        <v>116</v>
      </c>
      <c r="J7" s="11"/>
      <c r="K7" s="11"/>
      <c r="L7" s="11"/>
    </row>
    <row r="8" spans="2:11" ht="12.75">
      <c r="B8" s="21"/>
      <c r="C8" s="11"/>
      <c r="D8" s="11"/>
      <c r="H8" s="25">
        <v>0.005</v>
      </c>
      <c r="I8" s="10">
        <v>137.5</v>
      </c>
      <c r="J8" s="11"/>
      <c r="K8" s="11"/>
    </row>
    <row r="9" spans="2:12" ht="12.75">
      <c r="B9" s="11"/>
      <c r="C9" s="11"/>
      <c r="D9" s="11"/>
      <c r="H9" s="25">
        <v>0.006</v>
      </c>
      <c r="I9" s="10">
        <v>156</v>
      </c>
      <c r="J9" s="11"/>
      <c r="K9" t="s">
        <v>14</v>
      </c>
      <c r="L9" t="s">
        <v>43</v>
      </c>
    </row>
    <row r="10" spans="4:14" ht="15.75">
      <c r="D10" s="11"/>
      <c r="H10" s="25">
        <v>0.007</v>
      </c>
      <c r="I10" s="10">
        <v>171.5</v>
      </c>
      <c r="J10" s="11"/>
      <c r="K10" s="8" t="s">
        <v>15</v>
      </c>
      <c r="L10" s="3">
        <v>0.006630968196003199</v>
      </c>
      <c r="M10" s="2">
        <f>L10*180/PI()</f>
        <v>0.37992649171646053</v>
      </c>
      <c r="N10" s="2" t="s">
        <v>17</v>
      </c>
    </row>
    <row r="11" spans="8:14" ht="15.75">
      <c r="H11" s="25">
        <v>0.008</v>
      </c>
      <c r="I11" s="10">
        <v>184</v>
      </c>
      <c r="J11" s="11"/>
      <c r="K11" s="8" t="s">
        <v>16</v>
      </c>
      <c r="L11" s="2">
        <f>C4*L10/C3</f>
        <v>0.10609549113605118</v>
      </c>
      <c r="M11" s="2">
        <f>L11*180/PI()</f>
        <v>6.078823867463369</v>
      </c>
      <c r="N11" s="2" t="s">
        <v>17</v>
      </c>
    </row>
    <row r="12" spans="8:13" ht="15.75">
      <c r="H12" s="25">
        <v>0.009</v>
      </c>
      <c r="I12" s="10">
        <v>193.5</v>
      </c>
      <c r="J12" s="11"/>
      <c r="K12" s="8" t="s">
        <v>28</v>
      </c>
      <c r="L12" s="26">
        <f>FORECAST(L10,O14:P14,M14:N14)</f>
        <v>165.78000703804958</v>
      </c>
      <c r="M12" s="2" t="s">
        <v>29</v>
      </c>
    </row>
    <row r="13" spans="8:18" ht="12.75">
      <c r="H13" s="25">
        <v>0.01</v>
      </c>
      <c r="I13" s="10">
        <v>200</v>
      </c>
      <c r="J13" s="11"/>
      <c r="K13" s="11"/>
      <c r="L13" s="11"/>
      <c r="M13" s="8" t="s">
        <v>37</v>
      </c>
      <c r="N13" s="8" t="s">
        <v>38</v>
      </c>
      <c r="O13" s="8" t="s">
        <v>39</v>
      </c>
      <c r="P13" s="8" t="s">
        <v>40</v>
      </c>
      <c r="R13" s="7" t="s">
        <v>41</v>
      </c>
    </row>
    <row r="14" spans="8:19" ht="12.75">
      <c r="H14" s="25">
        <v>0.011</v>
      </c>
      <c r="I14" s="10">
        <v>203.5</v>
      </c>
      <c r="J14" s="11"/>
      <c r="K14" s="11"/>
      <c r="L14" s="11"/>
      <c r="M14" s="23">
        <f>VLOOKUP(L10,H$3:H$14,1)</f>
        <v>0.006</v>
      </c>
      <c r="N14" s="24">
        <f>INDEX(H$3:H$14,MATCH(M14,H$3:H$14)+1)</f>
        <v>0.007</v>
      </c>
      <c r="O14" s="22">
        <f>INDEX(I$3:I$14,MATCH(M14,H$3:H$14))</f>
        <v>156</v>
      </c>
      <c r="P14" s="22">
        <f>INDEX(I$3:I$14,MATCH(M14,H$3:H$14)+1)</f>
        <v>171.5</v>
      </c>
      <c r="R14" s="4">
        <f>SUM(R18:R38)</f>
        <v>35000</v>
      </c>
      <c r="S14" t="s">
        <v>5</v>
      </c>
    </row>
    <row r="15" spans="10:19" ht="14.25">
      <c r="J15" s="11"/>
      <c r="K15" s="11"/>
      <c r="L15" s="11"/>
      <c r="Q15" s="29" t="s">
        <v>42</v>
      </c>
      <c r="R15" s="30">
        <f>(C5-R14)^2</f>
        <v>0</v>
      </c>
      <c r="S15" s="11"/>
    </row>
    <row r="16" ht="12.75">
      <c r="Q16" t="s">
        <v>34</v>
      </c>
    </row>
    <row r="17" spans="8:18" ht="15.75">
      <c r="H17" s="7" t="s">
        <v>33</v>
      </c>
      <c r="I17" s="7" t="s">
        <v>9</v>
      </c>
      <c r="J17" s="7" t="s">
        <v>10</v>
      </c>
      <c r="K17" s="7" t="s">
        <v>11</v>
      </c>
      <c r="L17" s="8" t="s">
        <v>18</v>
      </c>
      <c r="M17" s="8" t="s">
        <v>37</v>
      </c>
      <c r="N17" s="8" t="s">
        <v>38</v>
      </c>
      <c r="O17" s="8" t="s">
        <v>39</v>
      </c>
      <c r="P17" s="8" t="s">
        <v>40</v>
      </c>
      <c r="Q17" s="8" t="s">
        <v>7</v>
      </c>
      <c r="R17" s="7" t="s">
        <v>19</v>
      </c>
    </row>
    <row r="18" spans="8:18" ht="12.75">
      <c r="H18" s="4">
        <v>0</v>
      </c>
      <c r="I18" s="20">
        <f>IF(H18&lt;C$6,H18*C$3/C$6,"")</f>
        <v>0</v>
      </c>
      <c r="J18" s="20">
        <f>IF(H18&lt;C$6,(1+H18)*C$3/C$6,"")</f>
        <v>0.005</v>
      </c>
      <c r="K18" s="20">
        <f>IF(H18&lt;C$6,(I18+J18)/2,"")</f>
        <v>0.0025</v>
      </c>
      <c r="L18" s="28">
        <f>IF(H18&lt;C$6,K18*L$10/C$3,"")</f>
        <v>0.00033154840980015993</v>
      </c>
      <c r="M18" s="27">
        <f>IF(H18&lt;C$6,VLOOKUP(L18,H$3:H$14,1),"")</f>
        <v>0</v>
      </c>
      <c r="N18" s="27">
        <f>IF(H18&lt;C$6,INDEX(H$3:H$14,MATCH(M18,H$3:H$14)+1),"")</f>
        <v>0.001</v>
      </c>
      <c r="O18" s="22">
        <f>IF(H18&lt;C$6,INDEX(I$3:I$14,MATCH(M18,H$3:H$14)),"")</f>
        <v>0</v>
      </c>
      <c r="P18" s="22">
        <f>IF(H18&lt;C$6,INDEX(I$3:I$14,MATCH(M18,H$3:H$14)+1),"")</f>
        <v>33.5</v>
      </c>
      <c r="Q18" s="5">
        <f>IF(H18&lt;C$6,FORECAST(L18,O18:P18,M18:N18),"")</f>
        <v>11.106871728305357</v>
      </c>
      <c r="R18" s="4">
        <f>IF(H18&lt;C$6,2*PI()*K18^2*Q18*$I$19*1000000,"")</f>
        <v>2.1808291641255173</v>
      </c>
    </row>
    <row r="19" spans="8:18" ht="12.75">
      <c r="H19" s="4">
        <v>1</v>
      </c>
      <c r="I19" s="20">
        <f aca="true" t="shared" si="0" ref="I19:I38">IF(H19&lt;C$6,H19*C$3/C$6,"")</f>
        <v>0.005</v>
      </c>
      <c r="J19" s="20">
        <f aca="true" t="shared" si="1" ref="J19:J38">IF(H19&lt;C$6,(1+H19)*C$3/C$6,"")</f>
        <v>0.01</v>
      </c>
      <c r="K19" s="20">
        <f aca="true" t="shared" si="2" ref="K19:K38">IF(H19&lt;C$6,(I19+J19)/2,"")</f>
        <v>0.0075</v>
      </c>
      <c r="L19" s="28">
        <f aca="true" t="shared" si="3" ref="L19:L38">IF(H19&lt;C$6,K19*L$10/C$3,"")</f>
        <v>0.0009946452294004797</v>
      </c>
      <c r="M19" s="27">
        <f aca="true" t="shared" si="4" ref="M19:M38">IF(H19&lt;C$6,VLOOKUP(L19,H$3:H$14,1),"")</f>
        <v>0</v>
      </c>
      <c r="N19" s="27">
        <f aca="true" t="shared" si="5" ref="N19:N38">IF(H19&lt;C$6,INDEX(H$3:H$14,MATCH(M19,H$3:H$14)+1),"")</f>
        <v>0.001</v>
      </c>
      <c r="O19" s="22">
        <f aca="true" t="shared" si="6" ref="O19:O38">IF(H19&lt;C$6,INDEX(I$3:I$14,MATCH(M19,H$3:H$14)),"")</f>
        <v>0</v>
      </c>
      <c r="P19" s="22">
        <f aca="true" t="shared" si="7" ref="P19:P38">IF(H19&lt;C$6,INDEX(I$3:I$14,MATCH(M19,H$3:H$14)+1),"")</f>
        <v>33.5</v>
      </c>
      <c r="Q19" s="5">
        <f aca="true" t="shared" si="8" ref="Q19:Q38">IF(H19&lt;C$6,FORECAST(L19,O19:P19,M19:N19),"")</f>
        <v>33.32061518491607</v>
      </c>
      <c r="R19" s="4">
        <f aca="true" t="shared" si="9" ref="R19:R38">IF(H19&lt;C$6,2*PI()*K19^2*Q19*$I$19*1000000,"")</f>
        <v>58.88238743138896</v>
      </c>
    </row>
    <row r="20" spans="8:18" ht="12.75">
      <c r="H20" s="4">
        <v>2</v>
      </c>
      <c r="I20" s="20">
        <f t="shared" si="0"/>
        <v>0.01</v>
      </c>
      <c r="J20" s="20">
        <f t="shared" si="1"/>
        <v>0.015000000000000003</v>
      </c>
      <c r="K20" s="20">
        <f t="shared" si="2"/>
        <v>0.0125</v>
      </c>
      <c r="L20" s="28">
        <f t="shared" si="3"/>
        <v>0.0016577420490007998</v>
      </c>
      <c r="M20" s="27">
        <f t="shared" si="4"/>
        <v>0.001</v>
      </c>
      <c r="N20" s="27">
        <f t="shared" si="5"/>
        <v>0.002</v>
      </c>
      <c r="O20" s="22">
        <f t="shared" si="6"/>
        <v>33.5</v>
      </c>
      <c r="P20" s="22">
        <f t="shared" si="7"/>
        <v>64</v>
      </c>
      <c r="Q20" s="5">
        <f t="shared" si="8"/>
        <v>53.561132494524394</v>
      </c>
      <c r="R20" s="4">
        <f t="shared" si="9"/>
        <v>262.9175943167928</v>
      </c>
    </row>
    <row r="21" spans="8:18" ht="12.75">
      <c r="H21" s="4">
        <v>3</v>
      </c>
      <c r="I21" s="20">
        <f t="shared" si="0"/>
        <v>0.015000000000000003</v>
      </c>
      <c r="J21" s="20">
        <f t="shared" si="1"/>
        <v>0.02</v>
      </c>
      <c r="K21" s="20">
        <f t="shared" si="2"/>
        <v>0.0175</v>
      </c>
      <c r="L21" s="28">
        <f t="shared" si="3"/>
        <v>0.00232083886860112</v>
      </c>
      <c r="M21" s="27">
        <f t="shared" si="4"/>
        <v>0.002</v>
      </c>
      <c r="N21" s="27">
        <f t="shared" si="5"/>
        <v>0.003</v>
      </c>
      <c r="O21" s="22">
        <f t="shared" si="6"/>
        <v>64</v>
      </c>
      <c r="P21" s="22">
        <f t="shared" si="7"/>
        <v>91.5</v>
      </c>
      <c r="Q21" s="5">
        <f t="shared" si="8"/>
        <v>72.82306888653079</v>
      </c>
      <c r="R21" s="4">
        <f t="shared" si="9"/>
        <v>700.6400308164776</v>
      </c>
    </row>
    <row r="22" spans="8:18" ht="12.75">
      <c r="H22" s="4">
        <v>4</v>
      </c>
      <c r="I22" s="20">
        <f t="shared" si="0"/>
        <v>0.02</v>
      </c>
      <c r="J22" s="20">
        <f t="shared" si="1"/>
        <v>0.025</v>
      </c>
      <c r="K22" s="20">
        <f t="shared" si="2"/>
        <v>0.0225</v>
      </c>
      <c r="L22" s="28">
        <f t="shared" si="3"/>
        <v>0.0029839356882014395</v>
      </c>
      <c r="M22" s="27">
        <f t="shared" si="4"/>
        <v>0.002</v>
      </c>
      <c r="N22" s="27">
        <f t="shared" si="5"/>
        <v>0.003</v>
      </c>
      <c r="O22" s="22">
        <f t="shared" si="6"/>
        <v>64</v>
      </c>
      <c r="P22" s="22">
        <f t="shared" si="7"/>
        <v>91.5</v>
      </c>
      <c r="Q22" s="5">
        <f t="shared" si="8"/>
        <v>91.05823142553959</v>
      </c>
      <c r="R22" s="4">
        <f t="shared" si="9"/>
        <v>1448.2185964077316</v>
      </c>
    </row>
    <row r="23" spans="2:18" ht="12.75">
      <c r="B23" s="14"/>
      <c r="C23" s="14"/>
      <c r="H23" s="4">
        <v>5</v>
      </c>
      <c r="I23" s="20">
        <f t="shared" si="0"/>
        <v>0.025</v>
      </c>
      <c r="J23" s="20">
        <f t="shared" si="1"/>
        <v>0.030000000000000006</v>
      </c>
      <c r="K23" s="20">
        <f t="shared" si="2"/>
        <v>0.027500000000000004</v>
      </c>
      <c r="L23" s="28">
        <f t="shared" si="3"/>
        <v>0.00364703250780176</v>
      </c>
      <c r="M23" s="27">
        <f t="shared" si="4"/>
        <v>0.003</v>
      </c>
      <c r="N23" s="27">
        <f t="shared" si="5"/>
        <v>0.004</v>
      </c>
      <c r="O23" s="22">
        <f t="shared" si="6"/>
        <v>91.5</v>
      </c>
      <c r="P23" s="22">
        <f t="shared" si="7"/>
        <v>116</v>
      </c>
      <c r="Q23" s="5">
        <f t="shared" si="8"/>
        <v>107.35229644114312</v>
      </c>
      <c r="R23" s="4">
        <f t="shared" si="9"/>
        <v>2550.5074679565105</v>
      </c>
    </row>
    <row r="24" spans="2:18" ht="12.75">
      <c r="B24" s="11"/>
      <c r="C24" s="15"/>
      <c r="H24" s="4">
        <v>6</v>
      </c>
      <c r="I24" s="20">
        <f t="shared" si="0"/>
        <v>0.030000000000000006</v>
      </c>
      <c r="J24" s="20">
        <f t="shared" si="1"/>
        <v>0.035</v>
      </c>
      <c r="K24" s="20">
        <f t="shared" si="2"/>
        <v>0.0325</v>
      </c>
      <c r="L24" s="28">
        <f t="shared" si="3"/>
        <v>0.00431012932740208</v>
      </c>
      <c r="M24" s="27">
        <f t="shared" si="4"/>
        <v>0.004</v>
      </c>
      <c r="N24" s="27">
        <f t="shared" si="5"/>
        <v>0.005</v>
      </c>
      <c r="O24" s="22">
        <f t="shared" si="6"/>
        <v>116</v>
      </c>
      <c r="P24" s="22">
        <f t="shared" si="7"/>
        <v>137.5</v>
      </c>
      <c r="Q24" s="5">
        <f t="shared" si="8"/>
        <v>122.6677805391447</v>
      </c>
      <c r="R24" s="4">
        <f t="shared" si="9"/>
        <v>4070.4938432122626</v>
      </c>
    </row>
    <row r="25" spans="2:18" ht="12.75">
      <c r="B25" s="11"/>
      <c r="C25" s="15"/>
      <c r="H25" s="4">
        <v>7</v>
      </c>
      <c r="I25" s="20">
        <f t="shared" si="0"/>
        <v>0.035</v>
      </c>
      <c r="J25" s="20">
        <f t="shared" si="1"/>
        <v>0.04</v>
      </c>
      <c r="K25" s="20">
        <f t="shared" si="2"/>
        <v>0.037500000000000006</v>
      </c>
      <c r="L25" s="28">
        <f t="shared" si="3"/>
        <v>0.004973226147002399</v>
      </c>
      <c r="M25" s="27">
        <f t="shared" si="4"/>
        <v>0.004</v>
      </c>
      <c r="N25" s="27">
        <f t="shared" si="5"/>
        <v>0.005</v>
      </c>
      <c r="O25" s="22">
        <f t="shared" si="6"/>
        <v>116</v>
      </c>
      <c r="P25" s="22">
        <f t="shared" si="7"/>
        <v>137.5</v>
      </c>
      <c r="Q25" s="5">
        <f t="shared" si="8"/>
        <v>136.92436216055154</v>
      </c>
      <c r="R25" s="4">
        <f t="shared" si="9"/>
        <v>6049.133019296115</v>
      </c>
    </row>
    <row r="26" spans="2:18" ht="12.75">
      <c r="B26" s="11"/>
      <c r="C26" s="15"/>
      <c r="H26" s="4">
        <v>8</v>
      </c>
      <c r="I26" s="20">
        <f t="shared" si="0"/>
        <v>0.04</v>
      </c>
      <c r="J26" s="20">
        <f t="shared" si="1"/>
        <v>0.045</v>
      </c>
      <c r="K26" s="20">
        <f t="shared" si="2"/>
        <v>0.042499999999999996</v>
      </c>
      <c r="L26" s="28">
        <f t="shared" si="3"/>
        <v>0.005636322966602718</v>
      </c>
      <c r="M26" s="27">
        <f t="shared" si="4"/>
        <v>0.005</v>
      </c>
      <c r="N26" s="27">
        <f t="shared" si="5"/>
        <v>0.006</v>
      </c>
      <c r="O26" s="22">
        <f t="shared" si="6"/>
        <v>137.5</v>
      </c>
      <c r="P26" s="22">
        <f t="shared" si="7"/>
        <v>156</v>
      </c>
      <c r="Q26" s="5">
        <f t="shared" si="8"/>
        <v>149.2719748821503</v>
      </c>
      <c r="R26" s="4">
        <f t="shared" si="9"/>
        <v>8470.440797908648</v>
      </c>
    </row>
    <row r="27" spans="2:18" ht="12.75">
      <c r="B27" s="11"/>
      <c r="C27" s="15"/>
      <c r="H27" s="4">
        <v>9</v>
      </c>
      <c r="I27" s="20">
        <f t="shared" si="0"/>
        <v>0.045</v>
      </c>
      <c r="J27" s="20">
        <f t="shared" si="1"/>
        <v>0.05</v>
      </c>
      <c r="K27" s="20">
        <f t="shared" si="2"/>
        <v>0.0475</v>
      </c>
      <c r="L27" s="28">
        <f t="shared" si="3"/>
        <v>0.006299419786203039</v>
      </c>
      <c r="M27" s="27">
        <f t="shared" si="4"/>
        <v>0.006</v>
      </c>
      <c r="N27" s="27">
        <f t="shared" si="5"/>
        <v>0.007</v>
      </c>
      <c r="O27" s="22">
        <f t="shared" si="6"/>
        <v>156</v>
      </c>
      <c r="P27" s="22">
        <f t="shared" si="7"/>
        <v>171.5</v>
      </c>
      <c r="Q27" s="5">
        <f t="shared" si="8"/>
        <v>160.64100668614708</v>
      </c>
      <c r="R27" s="4">
        <f>IF(H27&lt;C$6,2*PI()*K27^2*Q27*$I$19*1000000,"")</f>
        <v>11386.585433489947</v>
      </c>
    </row>
    <row r="28" spans="2:18" ht="12.75">
      <c r="B28" s="11"/>
      <c r="C28" s="15"/>
      <c r="H28" s="4">
        <v>10</v>
      </c>
      <c r="I28" s="20">
        <f t="shared" si="0"/>
      </c>
      <c r="J28" s="20">
        <f t="shared" si="1"/>
      </c>
      <c r="K28" s="20">
        <f t="shared" si="2"/>
      </c>
      <c r="L28" s="28">
        <f t="shared" si="3"/>
      </c>
      <c r="M28" s="27">
        <f t="shared" si="4"/>
      </c>
      <c r="N28" s="27">
        <f t="shared" si="5"/>
      </c>
      <c r="O28" s="22">
        <f t="shared" si="6"/>
      </c>
      <c r="P28" s="22">
        <f t="shared" si="7"/>
      </c>
      <c r="Q28" s="5">
        <f t="shared" si="8"/>
      </c>
      <c r="R28" s="4">
        <f t="shared" si="9"/>
      </c>
    </row>
    <row r="29" spans="2:18" ht="12.75">
      <c r="B29" s="11"/>
      <c r="C29" s="15"/>
      <c r="H29" s="4">
        <v>11</v>
      </c>
      <c r="I29" s="20">
        <f t="shared" si="0"/>
      </c>
      <c r="J29" s="20">
        <f t="shared" si="1"/>
      </c>
      <c r="K29" s="20">
        <f t="shared" si="2"/>
      </c>
      <c r="L29" s="28">
        <f t="shared" si="3"/>
      </c>
      <c r="M29" s="27">
        <f t="shared" si="4"/>
      </c>
      <c r="N29" s="27">
        <f t="shared" si="5"/>
      </c>
      <c r="O29" s="22">
        <f t="shared" si="6"/>
      </c>
      <c r="P29" s="22">
        <f t="shared" si="7"/>
      </c>
      <c r="Q29" s="5">
        <f t="shared" si="8"/>
      </c>
      <c r="R29" s="4">
        <f t="shared" si="9"/>
      </c>
    </row>
    <row r="30" spans="2:18" ht="12.75">
      <c r="B30" s="11"/>
      <c r="C30" s="15"/>
      <c r="H30" s="4">
        <v>12</v>
      </c>
      <c r="I30" s="20">
        <f t="shared" si="0"/>
      </c>
      <c r="J30" s="20">
        <f t="shared" si="1"/>
      </c>
      <c r="K30" s="20">
        <f t="shared" si="2"/>
      </c>
      <c r="L30" s="28">
        <f t="shared" si="3"/>
      </c>
      <c r="M30" s="27">
        <f t="shared" si="4"/>
      </c>
      <c r="N30" s="27">
        <f t="shared" si="5"/>
      </c>
      <c r="O30" s="22">
        <f t="shared" si="6"/>
      </c>
      <c r="P30" s="22">
        <f t="shared" si="7"/>
      </c>
      <c r="Q30" s="5">
        <f t="shared" si="8"/>
      </c>
      <c r="R30" s="4">
        <f t="shared" si="9"/>
      </c>
    </row>
    <row r="31" spans="2:18" ht="12.75">
      <c r="B31" s="11"/>
      <c r="C31" s="15"/>
      <c r="H31" s="4">
        <v>13</v>
      </c>
      <c r="I31" s="20">
        <f t="shared" si="0"/>
      </c>
      <c r="J31" s="20">
        <f t="shared" si="1"/>
      </c>
      <c r="K31" s="20">
        <f t="shared" si="2"/>
      </c>
      <c r="L31" s="28">
        <f t="shared" si="3"/>
      </c>
      <c r="M31" s="27">
        <f t="shared" si="4"/>
      </c>
      <c r="N31" s="27">
        <f t="shared" si="5"/>
      </c>
      <c r="O31" s="22">
        <f t="shared" si="6"/>
      </c>
      <c r="P31" s="22">
        <f t="shared" si="7"/>
      </c>
      <c r="Q31" s="5">
        <f t="shared" si="8"/>
      </c>
      <c r="R31" s="4">
        <f t="shared" si="9"/>
      </c>
    </row>
    <row r="32" spans="2:18" ht="12.75">
      <c r="B32" s="11"/>
      <c r="C32" s="15"/>
      <c r="H32" s="4">
        <v>14</v>
      </c>
      <c r="I32" s="20">
        <f t="shared" si="0"/>
      </c>
      <c r="J32" s="20">
        <f t="shared" si="1"/>
      </c>
      <c r="K32" s="20">
        <f t="shared" si="2"/>
      </c>
      <c r="L32" s="28">
        <f t="shared" si="3"/>
      </c>
      <c r="M32" s="27">
        <f t="shared" si="4"/>
      </c>
      <c r="N32" s="27">
        <f t="shared" si="5"/>
      </c>
      <c r="O32" s="22">
        <f t="shared" si="6"/>
      </c>
      <c r="P32" s="22">
        <f t="shared" si="7"/>
      </c>
      <c r="Q32" s="5">
        <f t="shared" si="8"/>
      </c>
      <c r="R32" s="4">
        <f t="shared" si="9"/>
      </c>
    </row>
    <row r="33" spans="2:18" ht="12.75">
      <c r="B33" s="11"/>
      <c r="C33" s="15"/>
      <c r="H33" s="4">
        <v>15</v>
      </c>
      <c r="I33" s="20">
        <f t="shared" si="0"/>
      </c>
      <c r="J33" s="20">
        <f t="shared" si="1"/>
      </c>
      <c r="K33" s="20">
        <f t="shared" si="2"/>
      </c>
      <c r="L33" s="28">
        <f t="shared" si="3"/>
      </c>
      <c r="M33" s="27">
        <f t="shared" si="4"/>
      </c>
      <c r="N33" s="27">
        <f t="shared" si="5"/>
      </c>
      <c r="O33" s="22">
        <f t="shared" si="6"/>
      </c>
      <c r="P33" s="22">
        <f t="shared" si="7"/>
      </c>
      <c r="Q33" s="5">
        <f t="shared" si="8"/>
      </c>
      <c r="R33" s="4">
        <f t="shared" si="9"/>
      </c>
    </row>
    <row r="34" spans="2:18" ht="12.75">
      <c r="B34" s="11"/>
      <c r="C34" s="15"/>
      <c r="H34" s="4">
        <v>16</v>
      </c>
      <c r="I34" s="20">
        <f t="shared" si="0"/>
      </c>
      <c r="J34" s="20">
        <f t="shared" si="1"/>
      </c>
      <c r="K34" s="20">
        <f t="shared" si="2"/>
      </c>
      <c r="L34" s="28">
        <f t="shared" si="3"/>
      </c>
      <c r="M34" s="27">
        <f t="shared" si="4"/>
      </c>
      <c r="N34" s="27">
        <f t="shared" si="5"/>
      </c>
      <c r="O34" s="22">
        <f t="shared" si="6"/>
      </c>
      <c r="P34" s="22">
        <f t="shared" si="7"/>
      </c>
      <c r="Q34" s="5">
        <f t="shared" si="8"/>
      </c>
      <c r="R34" s="4">
        <f t="shared" si="9"/>
      </c>
    </row>
    <row r="35" spans="2:18" ht="12.75">
      <c r="B35" s="11"/>
      <c r="C35" s="15"/>
      <c r="H35" s="4">
        <v>17</v>
      </c>
      <c r="I35" s="20">
        <f t="shared" si="0"/>
      </c>
      <c r="J35" s="20">
        <f t="shared" si="1"/>
      </c>
      <c r="K35" s="20">
        <f t="shared" si="2"/>
      </c>
      <c r="L35" s="28">
        <f t="shared" si="3"/>
      </c>
      <c r="M35" s="27">
        <f t="shared" si="4"/>
      </c>
      <c r="N35" s="27">
        <f t="shared" si="5"/>
      </c>
      <c r="O35" s="22">
        <f t="shared" si="6"/>
      </c>
      <c r="P35" s="22">
        <f t="shared" si="7"/>
      </c>
      <c r="Q35" s="5">
        <f t="shared" si="8"/>
      </c>
      <c r="R35" s="4">
        <f t="shared" si="9"/>
      </c>
    </row>
    <row r="36" spans="8:18" ht="12.75">
      <c r="H36" s="4">
        <v>18</v>
      </c>
      <c r="I36" s="20">
        <f t="shared" si="0"/>
      </c>
      <c r="J36" s="20">
        <f t="shared" si="1"/>
      </c>
      <c r="K36" s="20">
        <f t="shared" si="2"/>
      </c>
      <c r="L36" s="28">
        <f t="shared" si="3"/>
      </c>
      <c r="M36" s="27">
        <f t="shared" si="4"/>
      </c>
      <c r="N36" s="27">
        <f t="shared" si="5"/>
      </c>
      <c r="O36" s="22">
        <f t="shared" si="6"/>
      </c>
      <c r="P36" s="22">
        <f t="shared" si="7"/>
      </c>
      <c r="Q36" s="5">
        <f t="shared" si="8"/>
      </c>
      <c r="R36" s="4">
        <f t="shared" si="9"/>
      </c>
    </row>
    <row r="37" spans="8:18" ht="12.75">
      <c r="H37" s="4">
        <v>19</v>
      </c>
      <c r="I37" s="20">
        <f t="shared" si="0"/>
      </c>
      <c r="J37" s="20">
        <f t="shared" si="1"/>
      </c>
      <c r="K37" s="20">
        <f t="shared" si="2"/>
      </c>
      <c r="L37" s="28">
        <f t="shared" si="3"/>
      </c>
      <c r="M37" s="27">
        <f t="shared" si="4"/>
      </c>
      <c r="N37" s="27">
        <f t="shared" si="5"/>
      </c>
      <c r="O37" s="22">
        <f t="shared" si="6"/>
      </c>
      <c r="P37" s="22">
        <f t="shared" si="7"/>
      </c>
      <c r="Q37" s="5">
        <f t="shared" si="8"/>
      </c>
      <c r="R37" s="4">
        <f t="shared" si="9"/>
      </c>
    </row>
    <row r="38" spans="8:18" ht="12.75">
      <c r="H38" s="4">
        <v>20</v>
      </c>
      <c r="I38" s="20">
        <f t="shared" si="0"/>
      </c>
      <c r="J38" s="20">
        <f t="shared" si="1"/>
      </c>
      <c r="K38" s="20">
        <f t="shared" si="2"/>
      </c>
      <c r="L38" s="28">
        <f t="shared" si="3"/>
      </c>
      <c r="M38" s="27">
        <f t="shared" si="4"/>
      </c>
      <c r="N38" s="27">
        <f t="shared" si="5"/>
      </c>
      <c r="O38" s="22">
        <f t="shared" si="6"/>
      </c>
      <c r="P38" s="22">
        <f t="shared" si="7"/>
      </c>
      <c r="Q38" s="5">
        <f t="shared" si="8"/>
      </c>
      <c r="R38" s="4">
        <f t="shared" si="9"/>
      </c>
    </row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DSMT4" shapeId="184927" r:id="rId1"/>
    <oleObject progId="Equation.DSMT4" shapeId="19707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O35"/>
  <sheetViews>
    <sheetView zoomScale="130" zoomScaleNormal="130" workbookViewId="0" topLeftCell="A1">
      <selection activeCell="L35" sqref="L35"/>
    </sheetView>
  </sheetViews>
  <sheetFormatPr defaultColWidth="9.140625" defaultRowHeight="12.75"/>
  <cols>
    <col min="1" max="1" width="4.140625" style="0" customWidth="1"/>
    <col min="2" max="2" width="13.00390625" style="0" customWidth="1"/>
    <col min="5" max="5" width="3.28125" style="0" customWidth="1"/>
    <col min="6" max="6" width="7.28125" style="0" customWidth="1"/>
    <col min="7" max="8" width="9.57421875" style="0" customWidth="1"/>
    <col min="10" max="10" width="8.421875" style="0" customWidth="1"/>
    <col min="11" max="11" width="8.00390625" style="0" customWidth="1"/>
    <col min="12" max="12" width="12.28125" style="0" customWidth="1"/>
    <col min="13" max="13" width="10.57421875" style="0" customWidth="1"/>
  </cols>
  <sheetData>
    <row r="2" spans="2:11" ht="12.75">
      <c r="B2" s="7" t="s">
        <v>0</v>
      </c>
      <c r="C2" s="7"/>
      <c r="D2" s="7"/>
      <c r="H2" s="8" t="s">
        <v>6</v>
      </c>
      <c r="I2" s="8" t="s">
        <v>7</v>
      </c>
      <c r="J2" t="s">
        <v>25</v>
      </c>
      <c r="K2" t="s">
        <v>26</v>
      </c>
    </row>
    <row r="3" spans="2:11" ht="12.75">
      <c r="B3" s="6" t="s">
        <v>1</v>
      </c>
      <c r="C3" s="1">
        <v>0.05</v>
      </c>
      <c r="D3" s="7" t="s">
        <v>2</v>
      </c>
      <c r="H3" s="9">
        <v>0</v>
      </c>
      <c r="I3" s="10">
        <v>0</v>
      </c>
      <c r="J3" s="16">
        <f aca="true" t="shared" si="0" ref="J3:J14">D$8*(1-EXP(D$9*H3))</f>
        <v>0</v>
      </c>
      <c r="K3" s="18">
        <f aca="true" t="shared" si="1" ref="K3:K14">(I3-J3)^2</f>
        <v>0</v>
      </c>
    </row>
    <row r="4" spans="2:11" ht="12.75">
      <c r="B4" s="6" t="s">
        <v>3</v>
      </c>
      <c r="C4" s="1">
        <v>0.8</v>
      </c>
      <c r="D4" s="7" t="s">
        <v>2</v>
      </c>
      <c r="H4" s="9">
        <v>0.001</v>
      </c>
      <c r="I4" s="10">
        <v>33.5</v>
      </c>
      <c r="J4" s="16">
        <f t="shared" si="0"/>
        <v>19.0325163928081</v>
      </c>
      <c r="K4" s="18">
        <f t="shared" si="1"/>
        <v>209.3080819243664</v>
      </c>
    </row>
    <row r="5" spans="2:11" ht="12.75">
      <c r="B5" s="6" t="s">
        <v>4</v>
      </c>
      <c r="C5" s="1">
        <v>42000</v>
      </c>
      <c r="D5" s="7" t="s">
        <v>5</v>
      </c>
      <c r="H5" s="9">
        <v>0.002</v>
      </c>
      <c r="I5" s="10">
        <v>64</v>
      </c>
      <c r="J5" s="16">
        <f t="shared" si="0"/>
        <v>36.25384938440364</v>
      </c>
      <c r="K5" s="18">
        <f t="shared" si="1"/>
        <v>769.8488739833584</v>
      </c>
    </row>
    <row r="6" spans="2:11" ht="12.75">
      <c r="B6" s="6" t="s">
        <v>12</v>
      </c>
      <c r="C6" s="1">
        <v>10</v>
      </c>
      <c r="D6" s="7" t="s">
        <v>13</v>
      </c>
      <c r="H6" s="9">
        <v>0.003</v>
      </c>
      <c r="I6" s="10">
        <v>91.5</v>
      </c>
      <c r="J6" s="16">
        <f t="shared" si="0"/>
        <v>51.83635586365642</v>
      </c>
      <c r="K6" s="18">
        <f t="shared" si="1"/>
        <v>1573.2046661745023</v>
      </c>
    </row>
    <row r="7" spans="8:11" ht="12.75">
      <c r="H7" s="9">
        <v>0.004</v>
      </c>
      <c r="I7" s="10">
        <v>116</v>
      </c>
      <c r="J7" s="16">
        <f t="shared" si="0"/>
        <v>65.93599079287213</v>
      </c>
      <c r="K7" s="18">
        <f t="shared" si="1"/>
        <v>2506.405017891384</v>
      </c>
    </row>
    <row r="8" spans="2:11" ht="12.75">
      <c r="B8" s="7" t="s">
        <v>22</v>
      </c>
      <c r="C8" s="7" t="s">
        <v>23</v>
      </c>
      <c r="D8" s="3">
        <v>200</v>
      </c>
      <c r="H8" s="9">
        <v>0.005</v>
      </c>
      <c r="I8" s="10">
        <v>137.5</v>
      </c>
      <c r="J8" s="16">
        <f t="shared" si="0"/>
        <v>78.69386805747331</v>
      </c>
      <c r="K8" s="18">
        <f t="shared" si="1"/>
        <v>3458.161154041858</v>
      </c>
    </row>
    <row r="9" spans="2:11" ht="12.75">
      <c r="B9" s="7"/>
      <c r="C9" s="7" t="s">
        <v>24</v>
      </c>
      <c r="D9" s="3">
        <v>-100</v>
      </c>
      <c r="H9" s="9">
        <v>0.006</v>
      </c>
      <c r="I9" s="10">
        <v>156</v>
      </c>
      <c r="J9" s="16">
        <f t="shared" si="0"/>
        <v>90.23767278119472</v>
      </c>
      <c r="K9" s="18">
        <f t="shared" si="1"/>
        <v>4324.6836812332185</v>
      </c>
    </row>
    <row r="10" spans="8:11" ht="12.75">
      <c r="H10" s="9">
        <v>0.007</v>
      </c>
      <c r="I10" s="10">
        <v>171.5</v>
      </c>
      <c r="J10" s="16">
        <f t="shared" si="0"/>
        <v>100.68293924171812</v>
      </c>
      <c r="K10" s="18">
        <f t="shared" si="1"/>
        <v>5015.056094442188</v>
      </c>
    </row>
    <row r="11" spans="8:11" ht="12.75">
      <c r="H11" s="9">
        <v>0.008</v>
      </c>
      <c r="I11" s="10">
        <v>184</v>
      </c>
      <c r="J11" s="16">
        <f t="shared" si="0"/>
        <v>110.13420717655569</v>
      </c>
      <c r="K11" s="18">
        <f t="shared" si="1"/>
        <v>5456.155349435997</v>
      </c>
    </row>
    <row r="12" spans="8:11" ht="12.75">
      <c r="H12" s="9">
        <v>0.009</v>
      </c>
      <c r="I12" s="10">
        <v>193.5</v>
      </c>
      <c r="J12" s="16">
        <f t="shared" si="0"/>
        <v>118.68606805188016</v>
      </c>
      <c r="K12" s="18">
        <f t="shared" si="1"/>
        <v>5597.1244135379075</v>
      </c>
    </row>
    <row r="13" spans="8:11" ht="12.75">
      <c r="H13" s="9">
        <v>0.01</v>
      </c>
      <c r="I13" s="10">
        <v>200</v>
      </c>
      <c r="J13" s="16">
        <f t="shared" si="0"/>
        <v>126.42411176571153</v>
      </c>
      <c r="K13" s="18">
        <f t="shared" si="1"/>
        <v>5413.4113294645085</v>
      </c>
    </row>
    <row r="14" spans="8:11" ht="12.75">
      <c r="H14" s="9">
        <v>0.011</v>
      </c>
      <c r="I14" s="10">
        <v>203.5</v>
      </c>
      <c r="J14" s="16">
        <f t="shared" si="0"/>
        <v>133.42578326038407</v>
      </c>
      <c r="K14" s="18">
        <f t="shared" si="1"/>
        <v>4910.39585167067</v>
      </c>
    </row>
    <row r="15" spans="10:13" ht="12.75">
      <c r="J15" t="s">
        <v>27</v>
      </c>
      <c r="K15" s="13">
        <f>SUM(K3:K14)</f>
        <v>39233.754513799955</v>
      </c>
      <c r="M15" t="s">
        <v>35</v>
      </c>
    </row>
    <row r="16" ht="12.75">
      <c r="M16" t="s">
        <v>36</v>
      </c>
    </row>
    <row r="17" spans="8:14" ht="15.75">
      <c r="H17" s="7" t="s">
        <v>8</v>
      </c>
      <c r="I17" s="7" t="s">
        <v>9</v>
      </c>
      <c r="J17" s="7" t="s">
        <v>10</v>
      </c>
      <c r="K17" s="7" t="s">
        <v>11</v>
      </c>
      <c r="L17" s="8" t="s">
        <v>18</v>
      </c>
      <c r="M17" s="8" t="s">
        <v>7</v>
      </c>
      <c r="N17" s="7" t="s">
        <v>19</v>
      </c>
    </row>
    <row r="18" spans="8:14" ht="12.75">
      <c r="H18" s="4">
        <v>0</v>
      </c>
      <c r="I18" s="12">
        <f>H18*C$3/C$6</f>
        <v>0</v>
      </c>
      <c r="J18" s="12">
        <f>(1+H18)*C$3/C$6</f>
        <v>0.005</v>
      </c>
      <c r="K18" s="20">
        <f>(I18+J18)/2</f>
        <v>0.0025</v>
      </c>
      <c r="L18" s="4">
        <f>K18*I$30/C$3</f>
        <v>0.000525</v>
      </c>
      <c r="M18" s="5">
        <f aca="true" t="shared" si="2" ref="M18:M27">D$8*(1-EXP(D$9*L18))</f>
        <v>10.229135788839748</v>
      </c>
      <c r="N18" s="4">
        <f>2*PI()*K18^2*M18*1000000*(J18-I18)</f>
        <v>2.0084861154244615</v>
      </c>
    </row>
    <row r="19" spans="8:14" ht="12.75">
      <c r="H19" s="4">
        <v>1</v>
      </c>
      <c r="I19" s="12">
        <f aca="true" t="shared" si="3" ref="I19:I27">H19*C$3/C$6</f>
        <v>0.005</v>
      </c>
      <c r="J19" s="12">
        <f aca="true" t="shared" si="4" ref="J19:J27">(1+H19)*C$3/C$6</f>
        <v>0.01</v>
      </c>
      <c r="K19" s="20">
        <f aca="true" t="shared" si="5" ref="K19:K27">(I19+J19)/2</f>
        <v>0.0075</v>
      </c>
      <c r="L19" s="4">
        <f aca="true" t="shared" si="6" ref="L19:L27">K19*I$30/C$3</f>
        <v>0.001575</v>
      </c>
      <c r="M19" s="5">
        <f t="shared" si="2"/>
        <v>29.144637278304096</v>
      </c>
      <c r="N19" s="4">
        <f>2*PI()*K19^2*M19*1000000*(J19-I19)</f>
        <v>51.5028253303459</v>
      </c>
    </row>
    <row r="20" spans="8:14" ht="12.75">
      <c r="H20" s="4">
        <v>2</v>
      </c>
      <c r="I20" s="12">
        <f t="shared" si="3"/>
        <v>0.01</v>
      </c>
      <c r="J20" s="12">
        <f t="shared" si="4"/>
        <v>0.015000000000000003</v>
      </c>
      <c r="K20" s="20">
        <f t="shared" si="5"/>
        <v>0.0125</v>
      </c>
      <c r="L20" s="4">
        <f t="shared" si="6"/>
        <v>0.002625</v>
      </c>
      <c r="M20" s="5">
        <f t="shared" si="2"/>
        <v>46.174727126285894</v>
      </c>
      <c r="N20" s="4">
        <f aca="true" t="shared" si="7" ref="N20:N27">2*PI()*K20^2*M20*1000000*(J20-I20)</f>
        <v>226.65966175227064</v>
      </c>
    </row>
    <row r="21" spans="8:14" ht="12.75">
      <c r="H21" s="4">
        <v>3</v>
      </c>
      <c r="I21" s="12">
        <f t="shared" si="3"/>
        <v>0.015000000000000003</v>
      </c>
      <c r="J21" s="12">
        <f t="shared" si="4"/>
        <v>0.02</v>
      </c>
      <c r="K21" s="20">
        <f t="shared" si="5"/>
        <v>0.0175</v>
      </c>
      <c r="L21" s="4">
        <f t="shared" si="6"/>
        <v>0.0036750000000000003</v>
      </c>
      <c r="M21" s="5">
        <f t="shared" si="2"/>
        <v>61.50733463827132</v>
      </c>
      <c r="N21" s="4">
        <f t="shared" si="7"/>
        <v>591.7699088395389</v>
      </c>
    </row>
    <row r="22" spans="8:14" ht="12.75">
      <c r="H22" s="4">
        <v>4</v>
      </c>
      <c r="I22" s="12">
        <f t="shared" si="3"/>
        <v>0.02</v>
      </c>
      <c r="J22" s="12">
        <f t="shared" si="4"/>
        <v>0.025</v>
      </c>
      <c r="K22" s="20">
        <f t="shared" si="5"/>
        <v>0.0225</v>
      </c>
      <c r="L22" s="4">
        <f t="shared" si="6"/>
        <v>0.004725</v>
      </c>
      <c r="M22" s="5">
        <f t="shared" si="2"/>
        <v>75.3116571765022</v>
      </c>
      <c r="N22" s="4">
        <f t="shared" si="7"/>
        <v>1197.7801538840724</v>
      </c>
    </row>
    <row r="23" spans="2:14" ht="12.75">
      <c r="B23" s="14"/>
      <c r="C23" s="14"/>
      <c r="H23" s="4">
        <v>5</v>
      </c>
      <c r="I23" s="12">
        <f t="shared" si="3"/>
        <v>0.025</v>
      </c>
      <c r="J23" s="12">
        <f t="shared" si="4"/>
        <v>0.030000000000000006</v>
      </c>
      <c r="K23" s="20">
        <f t="shared" si="5"/>
        <v>0.027500000000000004</v>
      </c>
      <c r="L23" s="4">
        <f t="shared" si="6"/>
        <v>0.005775000000000001</v>
      </c>
      <c r="M23" s="5">
        <f t="shared" si="2"/>
        <v>87.7400272753617</v>
      </c>
      <c r="N23" s="4">
        <f t="shared" si="7"/>
        <v>2084.5534024249628</v>
      </c>
    </row>
    <row r="24" spans="2:14" ht="12.75">
      <c r="B24" s="11"/>
      <c r="C24" s="15"/>
      <c r="H24" s="4">
        <v>6</v>
      </c>
      <c r="I24" s="12">
        <f t="shared" si="3"/>
        <v>0.030000000000000006</v>
      </c>
      <c r="J24" s="12">
        <f t="shared" si="4"/>
        <v>0.035</v>
      </c>
      <c r="K24" s="20">
        <f t="shared" si="5"/>
        <v>0.0325</v>
      </c>
      <c r="L24" s="4">
        <f t="shared" si="6"/>
        <v>0.006825</v>
      </c>
      <c r="M24" s="5">
        <f t="shared" si="2"/>
        <v>98.92959365114282</v>
      </c>
      <c r="N24" s="4">
        <f t="shared" si="7"/>
        <v>3282.787868978879</v>
      </c>
    </row>
    <row r="25" spans="2:14" ht="12.75">
      <c r="B25" s="11"/>
      <c r="C25" s="15"/>
      <c r="H25" s="4">
        <v>7</v>
      </c>
      <c r="I25" s="12">
        <f t="shared" si="3"/>
        <v>0.035</v>
      </c>
      <c r="J25" s="12">
        <f t="shared" si="4"/>
        <v>0.04</v>
      </c>
      <c r="K25" s="20">
        <f t="shared" si="5"/>
        <v>0.037500000000000006</v>
      </c>
      <c r="L25" s="4">
        <f t="shared" si="6"/>
        <v>0.007875</v>
      </c>
      <c r="M25" s="5">
        <f t="shared" si="2"/>
        <v>109.0038346563653</v>
      </c>
      <c r="N25" s="4">
        <f t="shared" si="7"/>
        <v>4815.641899259348</v>
      </c>
    </row>
    <row r="26" spans="2:14" ht="12.75">
      <c r="B26" s="11"/>
      <c r="C26" s="15"/>
      <c r="H26" s="4">
        <v>8</v>
      </c>
      <c r="I26" s="12">
        <f t="shared" si="3"/>
        <v>0.04</v>
      </c>
      <c r="J26" s="12">
        <f t="shared" si="4"/>
        <v>0.045</v>
      </c>
      <c r="K26" s="20">
        <f t="shared" si="5"/>
        <v>0.042499999999999996</v>
      </c>
      <c r="L26" s="4">
        <f t="shared" si="6"/>
        <v>0.008924999999999999</v>
      </c>
      <c r="M26" s="5">
        <f t="shared" si="2"/>
        <v>118.07392087981118</v>
      </c>
      <c r="N26" s="4">
        <f t="shared" si="7"/>
        <v>6700.106683649063</v>
      </c>
    </row>
    <row r="27" spans="2:14" ht="12.75">
      <c r="B27" s="11"/>
      <c r="C27" s="15"/>
      <c r="H27" s="4">
        <v>9</v>
      </c>
      <c r="I27" s="12">
        <f t="shared" si="3"/>
        <v>0.045</v>
      </c>
      <c r="J27" s="12">
        <f t="shared" si="4"/>
        <v>0.05</v>
      </c>
      <c r="K27" s="20">
        <f t="shared" si="5"/>
        <v>0.0475</v>
      </c>
      <c r="L27" s="4">
        <f t="shared" si="6"/>
        <v>0.009975000000000001</v>
      </c>
      <c r="M27" s="5">
        <f t="shared" si="2"/>
        <v>126.2399419287514</v>
      </c>
      <c r="N27" s="4">
        <f t="shared" si="7"/>
        <v>8948.162823076338</v>
      </c>
    </row>
    <row r="28" spans="2:15" ht="12.75">
      <c r="B28" s="11"/>
      <c r="C28" s="15"/>
      <c r="M28" s="7" t="s">
        <v>20</v>
      </c>
      <c r="N28" s="2">
        <f>SUM(N18:N27)</f>
        <v>27900.973713310243</v>
      </c>
      <c r="O28" t="s">
        <v>5</v>
      </c>
    </row>
    <row r="29" spans="2:15" ht="14.25">
      <c r="B29" s="11"/>
      <c r="C29" s="15"/>
      <c r="H29" t="s">
        <v>14</v>
      </c>
      <c r="M29" s="7" t="s">
        <v>21</v>
      </c>
      <c r="N29" s="13">
        <f>(C5-N28)^2</f>
        <v>198782542.23276877</v>
      </c>
      <c r="O29" t="s">
        <v>5</v>
      </c>
    </row>
    <row r="30" spans="2:11" ht="15.75">
      <c r="B30" s="11"/>
      <c r="C30" s="15"/>
      <c r="H30" s="8" t="s">
        <v>15</v>
      </c>
      <c r="I30" s="3">
        <v>0.0105</v>
      </c>
      <c r="J30" s="2">
        <f>I30*180/PI()</f>
        <v>0.6016056848873644</v>
      </c>
      <c r="K30" s="2" t="s">
        <v>17</v>
      </c>
    </row>
    <row r="31" spans="2:11" ht="15.75">
      <c r="B31" s="11"/>
      <c r="C31" s="15"/>
      <c r="H31" s="8" t="s">
        <v>16</v>
      </c>
      <c r="I31" s="2">
        <f>C4*I30/C3</f>
        <v>0.168</v>
      </c>
      <c r="J31" s="2">
        <f>I31*180/PI()</f>
        <v>9.625690958197831</v>
      </c>
      <c r="K31" s="2" t="s">
        <v>17</v>
      </c>
    </row>
    <row r="32" spans="2:10" ht="15.75">
      <c r="B32" s="11"/>
      <c r="C32" s="15"/>
      <c r="H32" s="8" t="s">
        <v>28</v>
      </c>
      <c r="I32" s="22">
        <f>D$8*(1-EXP(D$9*I30))</f>
        <v>130.01245017776895</v>
      </c>
      <c r="J32" s="2" t="s">
        <v>29</v>
      </c>
    </row>
    <row r="33" spans="2:3" ht="12.75">
      <c r="B33" s="11"/>
      <c r="C33" s="15"/>
    </row>
    <row r="34" spans="2:3" ht="12.75">
      <c r="B34" s="11"/>
      <c r="C34" s="15"/>
    </row>
    <row r="35" spans="2:3" ht="12.75">
      <c r="B35" s="11"/>
      <c r="C35" s="15"/>
    </row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DSMT4" shapeId="183913" r:id="rId1"/>
    <oleObject progId="Equation.DSMT4" shapeId="19025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O35"/>
  <sheetViews>
    <sheetView zoomScale="130" zoomScaleNormal="130" workbookViewId="0" topLeftCell="A1">
      <selection activeCell="I35" sqref="I35"/>
    </sheetView>
  </sheetViews>
  <sheetFormatPr defaultColWidth="9.140625" defaultRowHeight="12.75"/>
  <cols>
    <col min="1" max="1" width="4.140625" style="0" customWidth="1"/>
    <col min="2" max="2" width="13.00390625" style="0" customWidth="1"/>
    <col min="4" max="4" width="10.00390625" style="0" customWidth="1"/>
    <col min="5" max="5" width="3.28125" style="0" customWidth="1"/>
    <col min="6" max="6" width="7.28125" style="0" customWidth="1"/>
    <col min="7" max="8" width="9.57421875" style="0" customWidth="1"/>
    <col min="10" max="10" width="8.421875" style="0" customWidth="1"/>
    <col min="11" max="11" width="8.00390625" style="0" customWidth="1"/>
    <col min="12" max="12" width="12.28125" style="0" customWidth="1"/>
    <col min="13" max="13" width="10.57421875" style="0" customWidth="1"/>
  </cols>
  <sheetData>
    <row r="2" spans="2:11" ht="12.75">
      <c r="B2" s="7" t="s">
        <v>0</v>
      </c>
      <c r="C2" s="7"/>
      <c r="D2" s="7"/>
      <c r="H2" s="8" t="s">
        <v>6</v>
      </c>
      <c r="I2" s="8" t="s">
        <v>7</v>
      </c>
      <c r="J2" t="s">
        <v>25</v>
      </c>
      <c r="K2" t="s">
        <v>26</v>
      </c>
    </row>
    <row r="3" spans="2:11" ht="12.75">
      <c r="B3" s="6" t="s">
        <v>1</v>
      </c>
      <c r="C3" s="1">
        <v>0.05</v>
      </c>
      <c r="D3" s="7" t="s">
        <v>2</v>
      </c>
      <c r="H3" s="9">
        <v>0</v>
      </c>
      <c r="I3" s="10">
        <v>0</v>
      </c>
      <c r="J3" s="16">
        <f>D$8*H3+D$9*H3^2</f>
        <v>0</v>
      </c>
      <c r="K3" s="17">
        <f aca="true" t="shared" si="0" ref="K3:K14">(I3-J3)^2</f>
        <v>0</v>
      </c>
    </row>
    <row r="4" spans="2:11" ht="12.75">
      <c r="B4" s="6" t="s">
        <v>3</v>
      </c>
      <c r="C4" s="1">
        <v>0.8</v>
      </c>
      <c r="D4" s="7" t="s">
        <v>2</v>
      </c>
      <c r="H4" s="9">
        <v>0.001</v>
      </c>
      <c r="I4" s="10">
        <v>33.5</v>
      </c>
      <c r="J4" s="16">
        <f aca="true" t="shared" si="1" ref="J4:J14">D$8*H4+D$9*H4^2</f>
        <v>39</v>
      </c>
      <c r="K4" s="17">
        <f t="shared" si="0"/>
        <v>30.25</v>
      </c>
    </row>
    <row r="5" spans="2:11" ht="12.75">
      <c r="B5" s="6" t="s">
        <v>4</v>
      </c>
      <c r="C5" s="1">
        <v>42000</v>
      </c>
      <c r="D5" s="7" t="s">
        <v>5</v>
      </c>
      <c r="H5" s="9">
        <v>0.002</v>
      </c>
      <c r="I5" s="10">
        <v>64</v>
      </c>
      <c r="J5" s="16">
        <f t="shared" si="1"/>
        <v>76</v>
      </c>
      <c r="K5" s="17">
        <f t="shared" si="0"/>
        <v>144</v>
      </c>
    </row>
    <row r="6" spans="2:11" ht="12.75">
      <c r="B6" s="6" t="s">
        <v>12</v>
      </c>
      <c r="C6" s="1">
        <v>10</v>
      </c>
      <c r="D6" s="7" t="s">
        <v>13</v>
      </c>
      <c r="H6" s="9">
        <v>0.003</v>
      </c>
      <c r="I6" s="10">
        <v>91.5</v>
      </c>
      <c r="J6" s="16">
        <f t="shared" si="1"/>
        <v>111</v>
      </c>
      <c r="K6" s="17">
        <f t="shared" si="0"/>
        <v>380.25</v>
      </c>
    </row>
    <row r="7" spans="8:11" ht="12.75">
      <c r="H7" s="9">
        <v>0.004</v>
      </c>
      <c r="I7" s="10">
        <v>116</v>
      </c>
      <c r="J7" s="16">
        <f t="shared" si="1"/>
        <v>144</v>
      </c>
      <c r="K7" s="17">
        <f t="shared" si="0"/>
        <v>784</v>
      </c>
    </row>
    <row r="8" spans="2:11" ht="12.75">
      <c r="B8" s="7" t="s">
        <v>32</v>
      </c>
      <c r="C8" s="7" t="s">
        <v>30</v>
      </c>
      <c r="D8" s="19">
        <v>40000</v>
      </c>
      <c r="H8" s="9">
        <v>0.005</v>
      </c>
      <c r="I8" s="10">
        <v>137.5</v>
      </c>
      <c r="J8" s="16">
        <f t="shared" si="1"/>
        <v>175</v>
      </c>
      <c r="K8" s="17">
        <f t="shared" si="0"/>
        <v>1406.25</v>
      </c>
    </row>
    <row r="9" spans="2:11" ht="12.75">
      <c r="B9" s="7"/>
      <c r="C9" s="7" t="s">
        <v>31</v>
      </c>
      <c r="D9" s="19">
        <v>-1000000</v>
      </c>
      <c r="H9" s="9">
        <v>0.006</v>
      </c>
      <c r="I9" s="10">
        <v>156</v>
      </c>
      <c r="J9" s="16">
        <f t="shared" si="1"/>
        <v>204</v>
      </c>
      <c r="K9" s="17">
        <f t="shared" si="0"/>
        <v>2304</v>
      </c>
    </row>
    <row r="10" spans="8:11" ht="12.75">
      <c r="H10" s="9">
        <v>0.007</v>
      </c>
      <c r="I10" s="10">
        <v>171.5</v>
      </c>
      <c r="J10" s="16">
        <f t="shared" si="1"/>
        <v>231</v>
      </c>
      <c r="K10" s="17">
        <f t="shared" si="0"/>
        <v>3540.25</v>
      </c>
    </row>
    <row r="11" spans="8:11" ht="12.75">
      <c r="H11" s="9">
        <v>0.008</v>
      </c>
      <c r="I11" s="10">
        <v>184</v>
      </c>
      <c r="J11" s="16">
        <f t="shared" si="1"/>
        <v>256</v>
      </c>
      <c r="K11" s="17">
        <f t="shared" si="0"/>
        <v>5184</v>
      </c>
    </row>
    <row r="12" spans="8:11" ht="12.75">
      <c r="H12" s="9">
        <v>0.009</v>
      </c>
      <c r="I12" s="10">
        <v>193.5</v>
      </c>
      <c r="J12" s="16">
        <f t="shared" si="1"/>
        <v>279</v>
      </c>
      <c r="K12" s="17">
        <f t="shared" si="0"/>
        <v>7310.25</v>
      </c>
    </row>
    <row r="13" spans="8:11" ht="12.75">
      <c r="H13" s="9">
        <v>0.01</v>
      </c>
      <c r="I13" s="10">
        <v>200</v>
      </c>
      <c r="J13" s="16">
        <f t="shared" si="1"/>
        <v>300</v>
      </c>
      <c r="K13" s="17">
        <f t="shared" si="0"/>
        <v>10000</v>
      </c>
    </row>
    <row r="14" spans="8:11" ht="12.75">
      <c r="H14" s="9">
        <v>0.011</v>
      </c>
      <c r="I14" s="10">
        <v>203.5</v>
      </c>
      <c r="J14" s="16">
        <f t="shared" si="1"/>
        <v>319</v>
      </c>
      <c r="K14" s="17">
        <f t="shared" si="0"/>
        <v>13340.25</v>
      </c>
    </row>
    <row r="15" spans="10:11" ht="12.75">
      <c r="J15" t="s">
        <v>27</v>
      </c>
      <c r="K15" s="13">
        <f>SUM(K3:K14)</f>
        <v>44423.5</v>
      </c>
    </row>
    <row r="17" spans="8:14" ht="15.75">
      <c r="H17" s="7" t="s">
        <v>8</v>
      </c>
      <c r="I17" s="7" t="s">
        <v>9</v>
      </c>
      <c r="J17" s="7" t="s">
        <v>10</v>
      </c>
      <c r="K17" s="7" t="s">
        <v>11</v>
      </c>
      <c r="L17" s="8" t="s">
        <v>18</v>
      </c>
      <c r="M17" s="8" t="s">
        <v>7</v>
      </c>
      <c r="N17" s="7" t="s">
        <v>19</v>
      </c>
    </row>
    <row r="18" spans="8:14" ht="12.75">
      <c r="H18" s="4">
        <v>0</v>
      </c>
      <c r="I18" s="12">
        <f>H18*C$3/C$6</f>
        <v>0</v>
      </c>
      <c r="J18" s="12">
        <f>(1+H18)*C$3/C$6</f>
        <v>0.005</v>
      </c>
      <c r="K18" s="20">
        <f>(I18+J18)/2</f>
        <v>0.0025</v>
      </c>
      <c r="L18" s="4">
        <f aca="true" t="shared" si="2" ref="L18:L27">K18*I$30/C$3</f>
        <v>0.000525</v>
      </c>
      <c r="M18" s="5">
        <f>D$8*L18+D$9*L18^2</f>
        <v>20.724375</v>
      </c>
      <c r="N18" s="4">
        <f>2*PI()*K18^2*M18*1000000*(J18-I18)</f>
        <v>4.069221515639998</v>
      </c>
    </row>
    <row r="19" spans="8:14" ht="12.75">
      <c r="H19" s="4">
        <v>1</v>
      </c>
      <c r="I19" s="12">
        <f aca="true" t="shared" si="3" ref="I19:I27">H19*C$3/C$6</f>
        <v>0.005</v>
      </c>
      <c r="J19" s="12">
        <f aca="true" t="shared" si="4" ref="J19:J27">(1+H19)*C$3/C$6</f>
        <v>0.01</v>
      </c>
      <c r="K19" s="20">
        <f aca="true" t="shared" si="5" ref="K19:K27">(I19+J19)/2</f>
        <v>0.0075</v>
      </c>
      <c r="L19" s="4">
        <f t="shared" si="2"/>
        <v>0.001575</v>
      </c>
      <c r="M19" s="5">
        <f aca="true" t="shared" si="6" ref="M19:M27">D$8*L19+D$9*L19^2</f>
        <v>60.519375</v>
      </c>
      <c r="N19" s="4">
        <f aca="true" t="shared" si="7" ref="N19:N27">2*PI()*K19^2*M19*1000000*(J19-I19)</f>
        <v>106.94656344366324</v>
      </c>
    </row>
    <row r="20" spans="8:14" ht="12.75">
      <c r="H20" s="4">
        <v>2</v>
      </c>
      <c r="I20" s="12">
        <f t="shared" si="3"/>
        <v>0.01</v>
      </c>
      <c r="J20" s="12">
        <f t="shared" si="4"/>
        <v>0.015000000000000003</v>
      </c>
      <c r="K20" s="20">
        <f t="shared" si="5"/>
        <v>0.0125</v>
      </c>
      <c r="L20" s="4">
        <f t="shared" si="2"/>
        <v>0.002625</v>
      </c>
      <c r="M20" s="5">
        <f t="shared" si="6"/>
        <v>98.109375</v>
      </c>
      <c r="N20" s="4">
        <f t="shared" si="7"/>
        <v>481.59326835669737</v>
      </c>
    </row>
    <row r="21" spans="8:14" ht="12.75">
      <c r="H21" s="4">
        <v>3</v>
      </c>
      <c r="I21" s="12">
        <f t="shared" si="3"/>
        <v>0.015000000000000003</v>
      </c>
      <c r="J21" s="12">
        <f t="shared" si="4"/>
        <v>0.02</v>
      </c>
      <c r="K21" s="20">
        <f t="shared" si="5"/>
        <v>0.0175</v>
      </c>
      <c r="L21" s="4">
        <f t="shared" si="2"/>
        <v>0.0036750000000000003</v>
      </c>
      <c r="M21" s="5">
        <f t="shared" si="6"/>
        <v>133.494375</v>
      </c>
      <c r="N21" s="4">
        <f t="shared" si="7"/>
        <v>1284.3664026239048</v>
      </c>
    </row>
    <row r="22" spans="8:14" ht="12.75">
      <c r="H22" s="4">
        <v>4</v>
      </c>
      <c r="I22" s="12">
        <f t="shared" si="3"/>
        <v>0.02</v>
      </c>
      <c r="J22" s="12">
        <f t="shared" si="4"/>
        <v>0.025</v>
      </c>
      <c r="K22" s="20">
        <f t="shared" si="5"/>
        <v>0.0225</v>
      </c>
      <c r="L22" s="4">
        <f t="shared" si="2"/>
        <v>0.004725</v>
      </c>
      <c r="M22" s="5">
        <f t="shared" si="6"/>
        <v>166.674375</v>
      </c>
      <c r="N22" s="4">
        <f t="shared" si="7"/>
        <v>2650.841397210956</v>
      </c>
    </row>
    <row r="23" spans="2:14" ht="12.75">
      <c r="B23" s="14"/>
      <c r="C23" s="14"/>
      <c r="H23" s="4">
        <v>5</v>
      </c>
      <c r="I23" s="12">
        <f t="shared" si="3"/>
        <v>0.025</v>
      </c>
      <c r="J23" s="12">
        <f t="shared" si="4"/>
        <v>0.030000000000000006</v>
      </c>
      <c r="K23" s="20">
        <f t="shared" si="5"/>
        <v>0.027500000000000004</v>
      </c>
      <c r="L23" s="4">
        <f t="shared" si="2"/>
        <v>0.005775000000000001</v>
      </c>
      <c r="M23" s="5">
        <f t="shared" si="6"/>
        <v>197.64937500000002</v>
      </c>
      <c r="N23" s="4">
        <f t="shared" si="7"/>
        <v>4695.812047680025</v>
      </c>
    </row>
    <row r="24" spans="2:14" ht="12.75">
      <c r="B24" s="11"/>
      <c r="C24" s="15"/>
      <c r="H24" s="4">
        <v>6</v>
      </c>
      <c r="I24" s="12">
        <f t="shared" si="3"/>
        <v>0.030000000000000006</v>
      </c>
      <c r="J24" s="12">
        <f t="shared" si="4"/>
        <v>0.035</v>
      </c>
      <c r="K24" s="20">
        <f t="shared" si="5"/>
        <v>0.0325</v>
      </c>
      <c r="L24" s="4">
        <f t="shared" si="2"/>
        <v>0.006825</v>
      </c>
      <c r="M24" s="5">
        <f t="shared" si="6"/>
        <v>226.419375</v>
      </c>
      <c r="N24" s="4">
        <f t="shared" si="7"/>
        <v>7513.290514189768</v>
      </c>
    </row>
    <row r="25" spans="2:14" ht="12.75">
      <c r="B25" s="11"/>
      <c r="C25" s="15"/>
      <c r="H25" s="4">
        <v>7</v>
      </c>
      <c r="I25" s="12">
        <f t="shared" si="3"/>
        <v>0.035</v>
      </c>
      <c r="J25" s="12">
        <f t="shared" si="4"/>
        <v>0.04</v>
      </c>
      <c r="K25" s="20">
        <f t="shared" si="5"/>
        <v>0.037500000000000006</v>
      </c>
      <c r="L25" s="4">
        <f t="shared" si="2"/>
        <v>0.007875</v>
      </c>
      <c r="M25" s="5">
        <f t="shared" si="6"/>
        <v>252.984375</v>
      </c>
      <c r="N25" s="4">
        <f t="shared" si="7"/>
        <v>11176.507321495385</v>
      </c>
    </row>
    <row r="26" spans="2:14" ht="12.75">
      <c r="B26" s="11"/>
      <c r="C26" s="15"/>
      <c r="H26" s="4">
        <v>8</v>
      </c>
      <c r="I26" s="12">
        <f t="shared" si="3"/>
        <v>0.04</v>
      </c>
      <c r="J26" s="12">
        <f t="shared" si="4"/>
        <v>0.045</v>
      </c>
      <c r="K26" s="20">
        <f t="shared" si="5"/>
        <v>0.042499999999999996</v>
      </c>
      <c r="L26" s="4">
        <f t="shared" si="2"/>
        <v>0.008924999999999999</v>
      </c>
      <c r="M26" s="5">
        <f t="shared" si="6"/>
        <v>277.34437499999996</v>
      </c>
      <c r="N26" s="4">
        <f t="shared" si="7"/>
        <v>15737.911358948537</v>
      </c>
    </row>
    <row r="27" spans="2:14" ht="12.75">
      <c r="B27" s="11"/>
      <c r="C27" s="15"/>
      <c r="H27" s="4">
        <v>9</v>
      </c>
      <c r="I27" s="12">
        <f t="shared" si="3"/>
        <v>0.045</v>
      </c>
      <c r="J27" s="12">
        <f t="shared" si="4"/>
        <v>0.05</v>
      </c>
      <c r="K27" s="20">
        <f t="shared" si="5"/>
        <v>0.0475</v>
      </c>
      <c r="L27" s="4">
        <f t="shared" si="2"/>
        <v>0.009975000000000001</v>
      </c>
      <c r="M27" s="5">
        <f t="shared" si="6"/>
        <v>299.49937500000004</v>
      </c>
      <c r="N27" s="4">
        <f t="shared" si="7"/>
        <v>21229.16988049747</v>
      </c>
    </row>
    <row r="28" spans="2:15" ht="12.75">
      <c r="B28" s="11"/>
      <c r="C28" s="15"/>
      <c r="M28" s="7" t="s">
        <v>20</v>
      </c>
      <c r="N28" s="2">
        <f>SUM(N18:N27)</f>
        <v>64880.50797596204</v>
      </c>
      <c r="O28" t="s">
        <v>5</v>
      </c>
    </row>
    <row r="29" spans="2:15" ht="14.25">
      <c r="B29" s="11"/>
      <c r="C29" s="15"/>
      <c r="H29" t="s">
        <v>14</v>
      </c>
      <c r="M29" s="7" t="s">
        <v>21</v>
      </c>
      <c r="N29" s="13">
        <f>(C5-N28)^2</f>
        <v>523517645.2380626</v>
      </c>
      <c r="O29" t="s">
        <v>5</v>
      </c>
    </row>
    <row r="30" spans="2:11" ht="15.75">
      <c r="B30" s="11"/>
      <c r="C30" s="15"/>
      <c r="H30" s="8" t="s">
        <v>15</v>
      </c>
      <c r="I30" s="3">
        <v>0.0105</v>
      </c>
      <c r="J30" s="2">
        <f>I30*180/PI()</f>
        <v>0.6016056848873644</v>
      </c>
      <c r="K30" s="2" t="s">
        <v>17</v>
      </c>
    </row>
    <row r="31" spans="2:11" ht="15.75">
      <c r="B31" s="11"/>
      <c r="C31" s="15"/>
      <c r="H31" s="8" t="s">
        <v>16</v>
      </c>
      <c r="I31" s="2">
        <f>C4*I30/C3</f>
        <v>0.168</v>
      </c>
      <c r="J31" s="2">
        <f>I31*180/PI()</f>
        <v>9.625690958197831</v>
      </c>
      <c r="K31" s="2" t="s">
        <v>17</v>
      </c>
    </row>
    <row r="32" spans="2:10" ht="15.75">
      <c r="B32" s="11"/>
      <c r="C32" s="15"/>
      <c r="H32" s="8" t="s">
        <v>28</v>
      </c>
      <c r="I32" s="22">
        <f>D8*I30+D9*I30^2</f>
        <v>309.75</v>
      </c>
      <c r="J32" s="2" t="s">
        <v>29</v>
      </c>
    </row>
    <row r="33" spans="2:3" ht="12.75">
      <c r="B33" s="11"/>
      <c r="C33" s="15"/>
    </row>
    <row r="34" spans="2:3" ht="12.75">
      <c r="B34" s="11"/>
      <c r="C34" s="15"/>
    </row>
    <row r="35" spans="2:3" ht="12.75">
      <c r="B35" s="11"/>
      <c r="C35" s="15"/>
    </row>
  </sheetData>
  <printOptions/>
  <pageMargins left="0.75" right="0.75" top="1" bottom="1" header="0.5" footer="0.5"/>
  <pageSetup orientation="portrait" r:id="rId5"/>
  <drawing r:id="rId4"/>
  <legacyDrawing r:id="rId3"/>
  <oleObjects>
    <oleObject progId="Equation.DSMT4" shapeId="185133" r:id="rId1"/>
    <oleObject progId="Equation.DSMT4" shapeId="1965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Geneseo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Edward M. Pogozelski</dc:creator>
  <cp:keywords/>
  <dc:description/>
  <cp:lastModifiedBy>Pogo</cp:lastModifiedBy>
  <dcterms:created xsi:type="dcterms:W3CDTF">2007-03-27T13:05:16Z</dcterms:created>
  <dcterms:modified xsi:type="dcterms:W3CDTF">2010-03-30T21:33:07Z</dcterms:modified>
  <cp:category/>
  <cp:version/>
  <cp:contentType/>
  <cp:contentStatus/>
</cp:coreProperties>
</file>